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<sst xmlns="http://schemas.openxmlformats.org/spreadsheetml/2006/main" count="86" uniqueCount="68">
  <si>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</si>
  <si>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</si>
  <si>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</si>
  <si>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</si>
  <si>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</si>
  <si>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</si>
  <si>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</si>
  <si>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</si>
  <si>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</si>
  <si>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</si>
  <si>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</si>
  <si>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</si>
  <si>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</si>
  <si>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</si>
  <si>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</si>
  <si>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</si>
  <si>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</si>
  <si>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</si>
  <si>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</si>
  <si>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</si>
  <si>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</si>
  <si>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</si>
  <si>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</si>
  <si>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</si>
  <si>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</si>
  <si>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</si>
  <si>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</si>
  <si>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</si>
  <si>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</si>
  <si>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</si>
  <si>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</si>
  <si>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</si>
  <si>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</si>
  <si>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</si>
  <si>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</si>
  <si>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</si>
  <si>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</si>
  <si>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</si>
  <si>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</si>
  <si>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</si>
  <si>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</si>
  <si>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</si>
  <si>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</si>
  <si>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</si>
  <si>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</si>
  <si>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</si>
  <si>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</si>
  <si>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</si>
  <si>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</si>
  <si>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</si>
  <si>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</si>
  <si>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</si>
  <si>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</si>
  <si>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</si>
  <si>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</si>
  <si>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</si>
  <si>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</si>
  <si>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</si>
  <si>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</si>
  <si>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</si>
  <si>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</si>
  <si>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</si>
  <si>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</si>
  <si>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</si>
  <si>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Приложение № 12</t>
  </si>
  <si>
    <t>Распределение средств фонда финансовой помощи бюджетам поселений на 2015 год</t>
  </si>
  <si>
    <t>от "28" мая 2015г.</t>
  </si>
  <si>
    <t>муниципального района Сергиевский № 38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</si>
</sst>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204" fontId="8" fillId="0" borderId="10" xfId="0" applyNumberFormat="1" applyFont="1" applyFill="1" applyBorder="1" applyAlignment="1" applyProtection="1">
      <alignment/>
      <protection/>
    </xf>
    <xf numFmtId="205" fontId="16" fillId="0" borderId="10" xfId="0" applyNumberFormat="1" applyFont="1" applyFill="1" applyBorder="1" applyAlignment="1" applyProtection="1">
      <alignment/>
      <protection/>
    </xf>
    <xf numFmtId="205" fontId="16" fillId="33" borderId="10" xfId="0" applyNumberFormat="1" applyFont="1" applyFill="1" applyBorder="1" applyAlignment="1" applyProtection="1">
      <alignment/>
      <protection/>
    </xf>
    <xf numFmtId="0" fontId="16" fillId="13" borderId="10" xfId="0" applyFont="1" applyFill="1" applyBorder="1" applyAlignment="1" applyProtection="1">
      <alignment/>
      <protection locked="0"/>
    </xf>
    <xf numFmtId="205" fontId="16" fillId="13" borderId="10" xfId="0" applyNumberFormat="1" applyFont="1" applyFill="1" applyBorder="1" applyAlignment="1">
      <alignment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7;&#1086;&#1089;&#1077;&#1083;&#1077;&#1085;&#1080;&#1080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5 доходы"/>
      <sheetName val="2016"/>
      <sheetName val="2016 доходы"/>
      <sheetName val="2017"/>
      <sheetName val="2017 доходы"/>
    </sheetNames>
    <sheetDataSet>
      <sheetData sheetId="1">
        <row r="38">
          <cell r="L38">
            <v>1024.75623</v>
          </cell>
          <cell r="O38">
            <v>552.91002</v>
          </cell>
          <cell r="R38">
            <v>1724.4712800000002</v>
          </cell>
          <cell r="U38">
            <v>2770.6511</v>
          </cell>
          <cell r="X38">
            <v>1744.0798799999998</v>
          </cell>
          <cell r="AA38">
            <v>2566.33771</v>
          </cell>
          <cell r="AD38">
            <v>1452.60046</v>
          </cell>
          <cell r="AG38">
            <v>2147.56682</v>
          </cell>
          <cell r="AJ38">
            <v>1560.7863699999998</v>
          </cell>
          <cell r="AM38">
            <v>2140.55503</v>
          </cell>
          <cell r="AP38">
            <v>1251.69162</v>
          </cell>
          <cell r="AS38">
            <v>3132.5528299999996</v>
          </cell>
          <cell r="AV38">
            <v>6793.07781</v>
          </cell>
          <cell r="AY38">
            <v>3490.76054</v>
          </cell>
          <cell r="BB38">
            <v>6989.46506</v>
          </cell>
          <cell r="BE38">
            <v>9762.66161</v>
          </cell>
          <cell r="BH38">
            <v>2148.07563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6"/>
      <c r="B1" s="56"/>
      <c r="C1" s="56"/>
      <c r="D1" s="56"/>
      <c r="E1" s="56"/>
      <c r="F1" s="56"/>
      <c r="G1" s="56"/>
      <c r="H1" s="56"/>
    </row>
    <row r="2" spans="1:8" ht="22.5" customHeight="1" hidden="1">
      <c r="A2" s="55"/>
      <c r="B2" s="55"/>
      <c r="C2" s="55"/>
      <c r="D2" s="55"/>
      <c r="E2" s="55"/>
      <c r="F2" s="55"/>
      <c r="G2" s="55"/>
      <c r="H2" s="55"/>
    </row>
    <row r="3" spans="1:8" ht="12.75" hidden="1">
      <c r="A3" s="51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51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51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54" t="s">
        <v>63</v>
      </c>
      <c r="G7" s="54"/>
      <c r="H7" s="54"/>
      <c r="I7" s="21"/>
    </row>
    <row r="8" ht="10.5" customHeight="1">
      <c r="B8" s="7"/>
    </row>
    <row r="9" ht="12.75" hidden="1">
      <c r="B9" s="7"/>
    </row>
    <row r="10" spans="2:8" ht="18.75">
      <c r="B10" s="63" t="s">
        <v>37</v>
      </c>
      <c r="C10" s="63"/>
      <c r="D10" s="63"/>
      <c r="E10" s="63"/>
      <c r="F10" s="63"/>
      <c r="G10" s="63"/>
      <c r="H10" s="63"/>
    </row>
    <row r="11" spans="1:8" ht="18.75">
      <c r="A11" s="11"/>
      <c r="B11" s="62" t="s">
        <v>38</v>
      </c>
      <c r="C11" s="62"/>
      <c r="D11" s="62"/>
      <c r="E11" s="62"/>
      <c r="F11" s="62"/>
      <c r="G11" s="62"/>
      <c r="H11" s="62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7" t="s">
        <v>15</v>
      </c>
      <c r="B13" s="59" t="s">
        <v>39</v>
      </c>
      <c r="C13" s="59"/>
      <c r="D13" s="59"/>
      <c r="E13" s="59"/>
      <c r="F13" s="19">
        <f>E3</f>
        <v>1274</v>
      </c>
      <c r="G13" s="58">
        <f>IF(F14=G39,"","Необходим пересчёт дотаций!
Нажмите на кнопку 'Расчёт'!")</f>
      </c>
      <c r="H13" s="58"/>
    </row>
    <row r="14" spans="1:8" s="3" customFormat="1" ht="17.25" customHeight="1">
      <c r="A14" s="57"/>
      <c r="B14" s="59" t="s">
        <v>40</v>
      </c>
      <c r="C14" s="59"/>
      <c r="D14" s="59"/>
      <c r="E14" s="59"/>
      <c r="F14" s="19">
        <f>E4</f>
        <v>300</v>
      </c>
      <c r="G14" s="58"/>
      <c r="H14" s="58"/>
    </row>
    <row r="15" spans="1:8" s="3" customFormat="1" ht="12.75" customHeight="1">
      <c r="A15" s="57"/>
      <c r="B15" s="60" t="s">
        <v>41</v>
      </c>
      <c r="C15" s="60"/>
      <c r="D15" s="60"/>
      <c r="E15" s="60">
        <v>-37778706683311340</v>
      </c>
      <c r="F15" s="22">
        <f>SUM(F13:F14)</f>
        <v>1574</v>
      </c>
      <c r="G15" s="58"/>
      <c r="H15" s="58"/>
    </row>
    <row r="16" spans="1:8" s="3" customFormat="1" ht="12.75" customHeight="1">
      <c r="A16" s="57"/>
      <c r="B16" s="14"/>
      <c r="F16" s="13"/>
      <c r="G16" s="58"/>
      <c r="H16" s="58"/>
    </row>
    <row r="17" spans="1:8" s="3" customFormat="1" ht="12.75" customHeight="1">
      <c r="A17" s="57"/>
      <c r="B17" s="61" t="s">
        <v>12</v>
      </c>
      <c r="C17" s="61"/>
      <c r="D17" s="61"/>
      <c r="E17" s="15">
        <v>456.9418960244648</v>
      </c>
      <c r="F17" s="16">
        <f>IF(G39&gt;F14,"меньше",IF(G39&lt;F14,"больше",""))</f>
      </c>
      <c r="G17" s="58"/>
      <c r="H17" s="58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53" t="s">
        <v>6</v>
      </c>
      <c r="C19" s="53" t="s">
        <v>17</v>
      </c>
      <c r="D19" s="53" t="s">
        <v>42</v>
      </c>
      <c r="E19" s="53" t="s">
        <v>18</v>
      </c>
      <c r="F19" s="52" t="s">
        <v>11</v>
      </c>
      <c r="G19" s="52"/>
      <c r="H19" s="52"/>
    </row>
    <row r="20" spans="2:8" s="3" customFormat="1" ht="94.5">
      <c r="B20" s="53"/>
      <c r="C20" s="53"/>
      <c r="D20" s="53"/>
      <c r="E20" s="53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  <mergeCell ref="A3:A5"/>
    <mergeCell ref="F19:H19"/>
    <mergeCell ref="B19:B20"/>
    <mergeCell ref="C19:C20"/>
    <mergeCell ref="D19:D20"/>
    <mergeCell ref="E19:E20"/>
    <mergeCell ref="F7:H7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4" sqref="G4:K4"/>
    </sheetView>
  </sheetViews>
  <sheetFormatPr defaultColWidth="9.00390625" defaultRowHeight="12.75"/>
  <cols>
    <col min="1" max="1" width="4.375" style="33" customWidth="1"/>
    <col min="2" max="2" width="39.00390625" style="33" customWidth="1"/>
    <col min="3" max="3" width="11.375" style="33" customWidth="1"/>
    <col min="4" max="4" width="13.25390625" style="33" customWidth="1"/>
    <col min="5" max="5" width="14.00390625" style="33" customWidth="1"/>
    <col min="6" max="7" width="12.37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73" t="s">
        <v>64</v>
      </c>
      <c r="H1" s="73"/>
      <c r="I1" s="73"/>
      <c r="J1" s="73"/>
      <c r="K1" s="73"/>
    </row>
    <row r="2" spans="6:11" ht="15.75">
      <c r="F2" s="34"/>
      <c r="G2" s="73" t="s">
        <v>43</v>
      </c>
      <c r="H2" s="73"/>
      <c r="I2" s="73"/>
      <c r="J2" s="73"/>
      <c r="K2" s="73"/>
    </row>
    <row r="3" spans="6:11" ht="15.75">
      <c r="F3" s="34"/>
      <c r="G3" s="73" t="s">
        <v>67</v>
      </c>
      <c r="H3" s="73"/>
      <c r="I3" s="73"/>
      <c r="J3" s="73"/>
      <c r="K3" s="73"/>
    </row>
    <row r="4" spans="6:11" ht="15.75">
      <c r="F4" s="34"/>
      <c r="G4" s="73" t="s">
        <v>66</v>
      </c>
      <c r="H4" s="73"/>
      <c r="I4" s="73"/>
      <c r="J4" s="73"/>
      <c r="K4" s="73"/>
    </row>
    <row r="6" spans="2:10" ht="18.75">
      <c r="B6" s="74" t="s">
        <v>65</v>
      </c>
      <c r="C6" s="74"/>
      <c r="D6" s="74"/>
      <c r="E6" s="74"/>
      <c r="F6" s="74"/>
      <c r="G6" s="74"/>
      <c r="H6" s="74"/>
      <c r="I6" s="74"/>
      <c r="J6" s="35"/>
    </row>
    <row r="7" spans="2:10" ht="18.75">
      <c r="B7" s="74" t="s">
        <v>38</v>
      </c>
      <c r="C7" s="74"/>
      <c r="D7" s="74"/>
      <c r="E7" s="74"/>
      <c r="F7" s="74"/>
      <c r="G7" s="74"/>
      <c r="H7" s="74"/>
      <c r="I7" s="74"/>
      <c r="J7" s="35"/>
    </row>
    <row r="8" spans="2:9" ht="18.75">
      <c r="B8" s="40"/>
      <c r="C8" s="40"/>
      <c r="D8" s="40"/>
      <c r="E8" s="40"/>
      <c r="F8" s="40"/>
      <c r="G8" s="40"/>
      <c r="H8" s="40"/>
      <c r="I8" s="40"/>
    </row>
    <row r="9" ht="15.75">
      <c r="K9" s="36" t="s">
        <v>44</v>
      </c>
    </row>
    <row r="10" spans="1:11" ht="36" customHeight="1">
      <c r="A10" s="41" t="s">
        <v>45</v>
      </c>
      <c r="B10" s="42"/>
      <c r="C10" s="64" t="s">
        <v>46</v>
      </c>
      <c r="D10" s="65"/>
      <c r="E10" s="65"/>
      <c r="F10" s="66"/>
      <c r="G10" s="67" t="s">
        <v>47</v>
      </c>
      <c r="H10" s="70" t="s">
        <v>48</v>
      </c>
      <c r="I10" s="41" t="s">
        <v>49</v>
      </c>
      <c r="J10" s="70" t="s">
        <v>50</v>
      </c>
      <c r="K10" s="70" t="s">
        <v>51</v>
      </c>
    </row>
    <row r="11" spans="1:11" ht="51.75" customHeight="1">
      <c r="A11" s="43" t="s">
        <v>52</v>
      </c>
      <c r="B11" s="43" t="s">
        <v>53</v>
      </c>
      <c r="C11" s="70" t="s">
        <v>54</v>
      </c>
      <c r="D11" s="70" t="s">
        <v>55</v>
      </c>
      <c r="E11" s="70" t="s">
        <v>56</v>
      </c>
      <c r="F11" s="70" t="s">
        <v>57</v>
      </c>
      <c r="G11" s="68"/>
      <c r="H11" s="71"/>
      <c r="I11" s="43" t="s">
        <v>58</v>
      </c>
      <c r="J11" s="71"/>
      <c r="K11" s="71"/>
    </row>
    <row r="12" spans="1:11" ht="41.25" customHeight="1">
      <c r="A12" s="44"/>
      <c r="B12" s="45"/>
      <c r="C12" s="72"/>
      <c r="D12" s="72"/>
      <c r="E12" s="72"/>
      <c r="F12" s="72"/>
      <c r="G12" s="69"/>
      <c r="H12" s="72"/>
      <c r="I12" s="44" t="s">
        <v>59</v>
      </c>
      <c r="J12" s="72"/>
      <c r="K12" s="72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8.75" customHeight="1">
      <c r="A14" s="38">
        <v>1</v>
      </c>
      <c r="B14" s="26" t="s">
        <v>20</v>
      </c>
      <c r="C14" s="29">
        <f>'[2]2015 доходы'!$BE$38</f>
        <v>9762.66161</v>
      </c>
      <c r="D14" s="27">
        <v>32295.92625</v>
      </c>
      <c r="E14" s="27">
        <v>9246.159</v>
      </c>
      <c r="F14" s="29">
        <f>SUM(C14:E14)</f>
        <v>51304.74686</v>
      </c>
      <c r="G14" s="46">
        <f>56110.10028-651.1</f>
        <v>55459.00028</v>
      </c>
      <c r="H14" s="29">
        <f>F14-G14</f>
        <v>-4154.253420000001</v>
      </c>
      <c r="I14" s="29">
        <f>J14+H14</f>
        <v>-0.0448949999999968</v>
      </c>
      <c r="J14" s="29">
        <f>(D14+E14)*0.1</f>
        <v>4154.208525000001</v>
      </c>
      <c r="K14" s="47">
        <f>IF(F14-G14&gt;0,0,IF(F14-G14&lt;0,-(J14+H14)))</f>
        <v>0.0448949999999968</v>
      </c>
    </row>
    <row r="15" spans="1:11" s="1" customFormat="1" ht="18.75" customHeight="1">
      <c r="A15" s="38">
        <v>2</v>
      </c>
      <c r="B15" s="26" t="s">
        <v>21</v>
      </c>
      <c r="C15" s="29">
        <f>'[2]2015 доходы'!$L$38</f>
        <v>1024.75623</v>
      </c>
      <c r="D15" s="27">
        <v>993.7836</v>
      </c>
      <c r="E15" s="27">
        <v>33.536</v>
      </c>
      <c r="F15" s="29">
        <f aca="true" t="shared" si="0" ref="F15:F30">SUM(C15:E15)</f>
        <v>2052.0758299999998</v>
      </c>
      <c r="G15" s="29">
        <f>2034.06357+169.4</f>
        <v>2203.46357</v>
      </c>
      <c r="H15" s="29">
        <f aca="true" t="shared" si="1" ref="H15:H30">F15-G15</f>
        <v>-151.38774000000012</v>
      </c>
      <c r="I15" s="29">
        <f>J15+H15</f>
        <v>-100.02176000000011</v>
      </c>
      <c r="J15" s="29">
        <f>(D15+E15)*0.05</f>
        <v>51.36598000000001</v>
      </c>
      <c r="K15" s="47">
        <f aca="true" t="shared" si="2" ref="K15:K30">IF(F15-G15&gt;0,0,IF(F15-G15&lt;0,-(J15+H15)))</f>
        <v>100.02176000000011</v>
      </c>
    </row>
    <row r="16" spans="1:11" s="1" customFormat="1" ht="18.75" customHeight="1">
      <c r="A16" s="38">
        <v>3</v>
      </c>
      <c r="B16" s="26" t="s">
        <v>22</v>
      </c>
      <c r="C16" s="29">
        <f>'[2]2015 доходы'!$O$38</f>
        <v>552.91002</v>
      </c>
      <c r="D16" s="27">
        <v>1860.27431</v>
      </c>
      <c r="E16" s="27">
        <v>84.44774</v>
      </c>
      <c r="F16" s="29">
        <f t="shared" si="0"/>
        <v>2497.63207</v>
      </c>
      <c r="G16" s="29">
        <f>2707.06326+85</f>
        <v>2792.06326</v>
      </c>
      <c r="H16" s="29">
        <f t="shared" si="1"/>
        <v>-294.4311899999998</v>
      </c>
      <c r="I16" s="29">
        <f aca="true" t="shared" si="3" ref="I16:I30">J16+H16</f>
        <v>-99.95898499999976</v>
      </c>
      <c r="J16" s="29">
        <f>(D16+E16)*0.1</f>
        <v>194.47220500000003</v>
      </c>
      <c r="K16" s="47">
        <f t="shared" si="2"/>
        <v>99.95898499999976</v>
      </c>
    </row>
    <row r="17" spans="1:11" s="1" customFormat="1" ht="18.75" customHeight="1">
      <c r="A17" s="38">
        <v>4</v>
      </c>
      <c r="B17" s="26" t="s">
        <v>23</v>
      </c>
      <c r="C17" s="29">
        <f>'[2]2015 доходы'!$R$38</f>
        <v>1724.4712800000002</v>
      </c>
      <c r="D17" s="27">
        <v>2719.75624</v>
      </c>
      <c r="E17" s="27">
        <v>204.74303</v>
      </c>
      <c r="F17" s="29">
        <f t="shared" si="0"/>
        <v>4648.97055</v>
      </c>
      <c r="G17" s="29">
        <f>5234.76293-293.3</f>
        <v>4941.46293</v>
      </c>
      <c r="H17" s="29">
        <f t="shared" si="1"/>
        <v>-292.4923799999997</v>
      </c>
      <c r="I17" s="29">
        <f t="shared" si="3"/>
        <v>-0.04245299999962526</v>
      </c>
      <c r="J17" s="29">
        <f>(D17+E17)*0.1</f>
        <v>292.44992700000006</v>
      </c>
      <c r="K17" s="47">
        <f t="shared" si="2"/>
        <v>0.04245299999962526</v>
      </c>
    </row>
    <row r="18" spans="1:11" s="1" customFormat="1" ht="18.75" customHeight="1">
      <c r="A18" s="38">
        <v>5</v>
      </c>
      <c r="B18" s="26" t="s">
        <v>24</v>
      </c>
      <c r="C18" s="29">
        <f>'[2]2015 доходы'!$U$38</f>
        <v>2770.6511</v>
      </c>
      <c r="D18" s="27">
        <v>1570.28709</v>
      </c>
      <c r="E18" s="27">
        <v>127.93572</v>
      </c>
      <c r="F18" s="29">
        <f t="shared" si="0"/>
        <v>4468.87391</v>
      </c>
      <c r="G18" s="29">
        <f>5576.15462+27.6</f>
        <v>5603.754620000001</v>
      </c>
      <c r="H18" s="29">
        <f t="shared" si="1"/>
        <v>-1134.8807100000004</v>
      </c>
      <c r="I18" s="29">
        <f t="shared" si="3"/>
        <v>-1049.9695695000003</v>
      </c>
      <c r="J18" s="29">
        <f>(D18+E18)*0.05</f>
        <v>84.9111405</v>
      </c>
      <c r="K18" s="47">
        <f>IF(F18-G18&gt;0,0,IF(F18-G18&lt;0,-(J18+H18)))</f>
        <v>1049.9695695000003</v>
      </c>
    </row>
    <row r="19" spans="1:11" s="1" customFormat="1" ht="18.75" customHeight="1">
      <c r="A19" s="38">
        <v>6</v>
      </c>
      <c r="B19" s="26" t="s">
        <v>25</v>
      </c>
      <c r="C19" s="29">
        <f>'[2]2015 доходы'!$X$38</f>
        <v>1744.0798799999998</v>
      </c>
      <c r="D19" s="27">
        <v>1957.58982</v>
      </c>
      <c r="E19" s="27">
        <v>112.7548</v>
      </c>
      <c r="F19" s="29">
        <f t="shared" si="0"/>
        <v>3814.4244999999996</v>
      </c>
      <c r="G19" s="29">
        <f>5958.32298-416.9</f>
        <v>5541.42298</v>
      </c>
      <c r="H19" s="29">
        <f t="shared" si="1"/>
        <v>-1726.9984800000007</v>
      </c>
      <c r="I19" s="29">
        <f t="shared" si="3"/>
        <v>-1519.9640180000006</v>
      </c>
      <c r="J19" s="29">
        <f>(D19+E19)*0.1</f>
        <v>207.034462</v>
      </c>
      <c r="K19" s="47">
        <f t="shared" si="2"/>
        <v>1519.9640180000006</v>
      </c>
    </row>
    <row r="20" spans="1:11" s="1" customFormat="1" ht="18.75" customHeight="1">
      <c r="A20" s="38">
        <v>7</v>
      </c>
      <c r="B20" s="26" t="s">
        <v>26</v>
      </c>
      <c r="C20" s="29">
        <f>'[2]2015 доходы'!$AA$38</f>
        <v>2566.33771</v>
      </c>
      <c r="D20" s="27">
        <v>1903.52276</v>
      </c>
      <c r="E20" s="27">
        <v>96.44</v>
      </c>
      <c r="F20" s="29">
        <f t="shared" si="0"/>
        <v>4566.300469999999</v>
      </c>
      <c r="G20" s="29">
        <f>5040.24452-33.9</f>
        <v>5006.344520000001</v>
      </c>
      <c r="H20" s="29">
        <f t="shared" si="1"/>
        <v>-440.04405000000133</v>
      </c>
      <c r="I20" s="29">
        <f t="shared" si="3"/>
        <v>-240.0477740000013</v>
      </c>
      <c r="J20" s="29">
        <f>(D20+E20)*0.1</f>
        <v>199.99627600000002</v>
      </c>
      <c r="K20" s="48">
        <f>IF(F20-G20&gt;0,0,IF(F20-G20&lt;0,-(J20+H20)))</f>
        <v>240.0477740000013</v>
      </c>
    </row>
    <row r="21" spans="1:11" s="1" customFormat="1" ht="18.75" customHeight="1">
      <c r="A21" s="38">
        <v>8</v>
      </c>
      <c r="B21" s="26" t="s">
        <v>27</v>
      </c>
      <c r="C21" s="29">
        <f>'[2]2015 доходы'!$AD$38</f>
        <v>1452.60046</v>
      </c>
      <c r="D21" s="27">
        <v>1596.42142</v>
      </c>
      <c r="E21" s="27">
        <v>54.42358</v>
      </c>
      <c r="F21" s="29">
        <f t="shared" si="0"/>
        <v>3103.4454600000004</v>
      </c>
      <c r="G21" s="29">
        <f>5562.77103-226.8</f>
        <v>5335.97103</v>
      </c>
      <c r="H21" s="29">
        <f t="shared" si="1"/>
        <v>-2232.5255699999993</v>
      </c>
      <c r="I21" s="29">
        <f t="shared" si="3"/>
        <v>-2149.9833199999994</v>
      </c>
      <c r="J21" s="29">
        <f>(D21+E21)*0.05</f>
        <v>82.54225</v>
      </c>
      <c r="K21" s="47">
        <f t="shared" si="2"/>
        <v>2149.9833199999994</v>
      </c>
    </row>
    <row r="22" spans="1:11" s="1" customFormat="1" ht="18.75" customHeight="1">
      <c r="A22" s="38">
        <v>9</v>
      </c>
      <c r="B22" s="26" t="s">
        <v>28</v>
      </c>
      <c r="C22" s="29">
        <f>'[2]2015 доходы'!$AG$38</f>
        <v>2147.56682</v>
      </c>
      <c r="D22" s="27">
        <v>1091.55296</v>
      </c>
      <c r="E22" s="27">
        <v>23.04</v>
      </c>
      <c r="F22" s="29">
        <f t="shared" si="0"/>
        <v>3262.15978</v>
      </c>
      <c r="G22" s="29">
        <f>3522.67041-204.8</f>
        <v>3317.87041</v>
      </c>
      <c r="H22" s="29">
        <f t="shared" si="1"/>
        <v>-55.71063000000004</v>
      </c>
      <c r="I22" s="29">
        <f t="shared" si="3"/>
        <v>0.01901799999996001</v>
      </c>
      <c r="J22" s="29">
        <f>(D22+E22)*0.05</f>
        <v>55.729648</v>
      </c>
      <c r="K22" s="47">
        <f t="shared" si="2"/>
        <v>-0.01901799999996001</v>
      </c>
    </row>
    <row r="23" spans="1:11" s="1" customFormat="1" ht="18.75" customHeight="1">
      <c r="A23" s="38">
        <v>10</v>
      </c>
      <c r="B23" s="26" t="s">
        <v>29</v>
      </c>
      <c r="C23" s="29">
        <f>'[2]2015 доходы'!$AJ$38</f>
        <v>1560.7863699999998</v>
      </c>
      <c r="D23" s="27">
        <v>659.21264</v>
      </c>
      <c r="E23" s="27">
        <v>205.15797</v>
      </c>
      <c r="F23" s="29">
        <f t="shared" si="0"/>
        <v>2425.1569799999997</v>
      </c>
      <c r="G23" s="29">
        <f>3272.92542+45.5</f>
        <v>3318.42542</v>
      </c>
      <c r="H23" s="29">
        <f t="shared" si="1"/>
        <v>-893.2684400000003</v>
      </c>
      <c r="I23" s="29">
        <f t="shared" si="3"/>
        <v>-850.0499095000002</v>
      </c>
      <c r="J23" s="29">
        <f>(D23+E23)*0.05</f>
        <v>43.2185305</v>
      </c>
      <c r="K23" s="47">
        <f t="shared" si="2"/>
        <v>850.0499095000002</v>
      </c>
    </row>
    <row r="24" spans="1:11" s="1" customFormat="1" ht="18.75" customHeight="1">
      <c r="A24" s="38">
        <v>11</v>
      </c>
      <c r="B24" s="26" t="s">
        <v>30</v>
      </c>
      <c r="C24" s="29">
        <f>'[2]2015 доходы'!$AM$38</f>
        <v>2140.55503</v>
      </c>
      <c r="D24" s="27">
        <v>1488.26404</v>
      </c>
      <c r="E24" s="27">
        <v>223.596</v>
      </c>
      <c r="F24" s="29">
        <f t="shared" si="0"/>
        <v>3852.41507</v>
      </c>
      <c r="G24" s="29">
        <f>5756.06684-562.5</f>
        <v>5193.56684</v>
      </c>
      <c r="H24" s="29">
        <f t="shared" si="1"/>
        <v>-1341.1517700000004</v>
      </c>
      <c r="I24" s="29">
        <f>J24+H24</f>
        <v>-1169.9657660000003</v>
      </c>
      <c r="J24" s="29">
        <f>(D24+E24)*0.1</f>
        <v>171.18600400000003</v>
      </c>
      <c r="K24" s="47">
        <f t="shared" si="2"/>
        <v>1169.9657660000003</v>
      </c>
    </row>
    <row r="25" spans="1:11" s="1" customFormat="1" ht="18.75" customHeight="1">
      <c r="A25" s="38">
        <v>12</v>
      </c>
      <c r="B25" s="26" t="s">
        <v>31</v>
      </c>
      <c r="C25" s="29">
        <f>'[2]2015 доходы'!$AP$38</f>
        <v>1251.69162</v>
      </c>
      <c r="D25" s="27">
        <v>632.91266</v>
      </c>
      <c r="E25" s="27">
        <v>17.76281</v>
      </c>
      <c r="F25" s="29">
        <f t="shared" si="0"/>
        <v>1902.36709</v>
      </c>
      <c r="G25" s="29">
        <f>2498.44353-271</f>
        <v>2227.44353</v>
      </c>
      <c r="H25" s="29">
        <f t="shared" si="1"/>
        <v>-325.07644000000005</v>
      </c>
      <c r="I25" s="29">
        <f t="shared" si="3"/>
        <v>-260.00889300000006</v>
      </c>
      <c r="J25" s="29">
        <f>(D25+E25)*0.1</f>
        <v>65.06754699999999</v>
      </c>
      <c r="K25" s="47">
        <f t="shared" si="2"/>
        <v>260.00889300000006</v>
      </c>
    </row>
    <row r="26" spans="1:11" s="1" customFormat="1" ht="18.75" customHeight="1">
      <c r="A26" s="38">
        <v>13</v>
      </c>
      <c r="B26" s="26" t="s">
        <v>32</v>
      </c>
      <c r="C26" s="29">
        <f>'[2]2015 доходы'!$AS$38</f>
        <v>3132.5528299999996</v>
      </c>
      <c r="D26" s="27">
        <v>1763.65152</v>
      </c>
      <c r="E26" s="27">
        <v>110.1076</v>
      </c>
      <c r="F26" s="29">
        <f t="shared" si="0"/>
        <v>5006.31195</v>
      </c>
      <c r="G26" s="29">
        <f>5470.36105-370.4</f>
        <v>5099.961050000001</v>
      </c>
      <c r="H26" s="29">
        <f t="shared" si="1"/>
        <v>-93.64910000000054</v>
      </c>
      <c r="I26" s="29">
        <f t="shared" si="3"/>
        <v>0.03885599999945555</v>
      </c>
      <c r="J26" s="29">
        <f>(D26+E26)*0.05</f>
        <v>93.687956</v>
      </c>
      <c r="K26" s="47">
        <f t="shared" si="2"/>
        <v>-0.03885599999945555</v>
      </c>
    </row>
    <row r="27" spans="1:11" s="1" customFormat="1" ht="18.75" customHeight="1">
      <c r="A27" s="38">
        <v>14</v>
      </c>
      <c r="B27" s="26" t="s">
        <v>33</v>
      </c>
      <c r="C27" s="29">
        <f>'[2]2015 доходы'!$AV$38</f>
        <v>6793.07781</v>
      </c>
      <c r="D27" s="27">
        <v>20369.66697</v>
      </c>
      <c r="E27" s="27">
        <v>555.99</v>
      </c>
      <c r="F27" s="29">
        <f t="shared" si="0"/>
        <v>27718.73478</v>
      </c>
      <c r="G27" s="29">
        <f>38792.3409-1167.3</f>
        <v>37625.0409</v>
      </c>
      <c r="H27" s="29">
        <f t="shared" si="1"/>
        <v>-9906.306120000001</v>
      </c>
      <c r="I27" s="29">
        <f t="shared" si="3"/>
        <v>-8860.023271500002</v>
      </c>
      <c r="J27" s="29">
        <f>(D27+E27)*0.05</f>
        <v>1046.2828485</v>
      </c>
      <c r="K27" s="47">
        <f t="shared" si="2"/>
        <v>8860.023271500002</v>
      </c>
    </row>
    <row r="28" spans="1:11" s="1" customFormat="1" ht="18.75" customHeight="1">
      <c r="A28" s="38">
        <v>15</v>
      </c>
      <c r="B28" s="26" t="s">
        <v>34</v>
      </c>
      <c r="C28" s="29">
        <f>'[2]2015 доходы'!$AY$38</f>
        <v>3490.76054</v>
      </c>
      <c r="D28" s="27">
        <v>6039.65179</v>
      </c>
      <c r="E28" s="27">
        <v>302.54</v>
      </c>
      <c r="F28" s="29">
        <f t="shared" si="0"/>
        <v>9832.95233</v>
      </c>
      <c r="G28" s="29">
        <f>11253.04239-785.9</f>
        <v>10467.14239</v>
      </c>
      <c r="H28" s="29">
        <f t="shared" si="1"/>
        <v>-634.1900600000008</v>
      </c>
      <c r="I28" s="29">
        <f t="shared" si="3"/>
        <v>0.02911899999924117</v>
      </c>
      <c r="J28" s="29">
        <f>(D28+E28)*0.1</f>
        <v>634.219179</v>
      </c>
      <c r="K28" s="47">
        <f t="shared" si="2"/>
        <v>-0.02911899999924117</v>
      </c>
    </row>
    <row r="29" spans="1:11" s="1" customFormat="1" ht="18.75" customHeight="1">
      <c r="A29" s="38">
        <v>16</v>
      </c>
      <c r="B29" s="26" t="s">
        <v>35</v>
      </c>
      <c r="C29" s="29">
        <f>'[2]2015 доходы'!$BB$38</f>
        <v>6989.46506</v>
      </c>
      <c r="D29" s="27">
        <v>6003.46762</v>
      </c>
      <c r="E29" s="27">
        <v>708.494</v>
      </c>
      <c r="F29" s="29">
        <f t="shared" si="0"/>
        <v>13701.426680000002</v>
      </c>
      <c r="G29" s="29">
        <f>14307.02929-270</f>
        <v>14037.02929</v>
      </c>
      <c r="H29" s="29">
        <f t="shared" si="1"/>
        <v>-335.6026099999981</v>
      </c>
      <c r="I29" s="29">
        <f t="shared" si="3"/>
        <v>-0.004528999998058225</v>
      </c>
      <c r="J29" s="29">
        <f>(D29+E29)*0.05</f>
        <v>335.59808100000004</v>
      </c>
      <c r="K29" s="47">
        <f t="shared" si="2"/>
        <v>0.004528999998058225</v>
      </c>
    </row>
    <row r="30" spans="1:11" s="1" customFormat="1" ht="18.75" customHeight="1">
      <c r="A30" s="38">
        <v>17</v>
      </c>
      <c r="B30" s="26" t="s">
        <v>36</v>
      </c>
      <c r="C30" s="29">
        <f>'[2]2015 доходы'!$BH$38</f>
        <v>2148.07563</v>
      </c>
      <c r="D30" s="27">
        <v>1802.66154</v>
      </c>
      <c r="E30" s="27">
        <v>197.53</v>
      </c>
      <c r="F30" s="29">
        <f t="shared" si="0"/>
        <v>4148.26717</v>
      </c>
      <c r="G30" s="29">
        <f>5711.98706-473.7</f>
        <v>5238.287060000001</v>
      </c>
      <c r="H30" s="29">
        <f t="shared" si="1"/>
        <v>-1090.0198900000005</v>
      </c>
      <c r="I30" s="29">
        <f t="shared" si="3"/>
        <v>-890.0007360000004</v>
      </c>
      <c r="J30" s="29">
        <f>(D30+E30)*0.1</f>
        <v>200.01915400000001</v>
      </c>
      <c r="K30" s="47">
        <f t="shared" si="2"/>
        <v>890.0007360000004</v>
      </c>
    </row>
    <row r="31" spans="1:11" ht="23.25" customHeight="1">
      <c r="A31" s="39"/>
      <c r="B31" s="49" t="s">
        <v>62</v>
      </c>
      <c r="C31" s="50">
        <f>SUM(C14:C30)</f>
        <v>51253.00000000001</v>
      </c>
      <c r="D31" s="50">
        <f aca="true" t="shared" si="4" ref="D31:J31">SUM(D14:D30)</f>
        <v>84748.60323</v>
      </c>
      <c r="E31" s="50">
        <f>SUM(E14:E30)</f>
        <v>12304.658250000002</v>
      </c>
      <c r="F31" s="50">
        <f>SUM(F14:F30)</f>
        <v>148306.26148000002</v>
      </c>
      <c r="G31" s="50">
        <f>SUM(G14:G30)</f>
        <v>173408.25008000003</v>
      </c>
      <c r="H31" s="50">
        <f t="shared" si="4"/>
        <v>-25101.988600000004</v>
      </c>
      <c r="I31" s="50">
        <f t="shared" si="4"/>
        <v>-17189.998886500005</v>
      </c>
      <c r="J31" s="50">
        <f t="shared" si="4"/>
        <v>7911.9897135</v>
      </c>
      <c r="K31" s="50">
        <f>SUM(K14:K30)</f>
        <v>17189.998886500005</v>
      </c>
    </row>
  </sheetData>
  <sheetProtection/>
  <mergeCells count="15">
    <mergeCell ref="G1:K1"/>
    <mergeCell ref="G2:K2"/>
    <mergeCell ref="G3:K3"/>
    <mergeCell ref="G4:K4"/>
    <mergeCell ref="B6:I6"/>
    <mergeCell ref="B7:I7"/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Nina</cp:lastModifiedBy>
  <cp:lastPrinted>2015-05-21T07:38:39Z</cp:lastPrinted>
  <dcterms:created xsi:type="dcterms:W3CDTF">1998-09-07T09:31:30Z</dcterms:created>
  <dcterms:modified xsi:type="dcterms:W3CDTF">2015-05-28T07:38:29Z</dcterms:modified>
  <cp:category/>
  <cp:version/>
  <cp:contentType/>
  <cp:contentStatus/>
</cp:coreProperties>
</file>